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Final DCF Valuation" sheetId="1" r:id="rId1"/>
    <sheet name="Projections" sheetId="2" r:id="rId2"/>
    <sheet name="Book Value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<sst xmlns="http://schemas.openxmlformats.org/spreadsheetml/2006/main" count="69" uniqueCount="68">
  <si>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Beta</t>
  </si>
  <si>
    <t>Risk free Return</t>
  </si>
  <si>
    <t>Market risk premium</t>
  </si>
  <si>
    <t>Debt Ratio</t>
  </si>
  <si>
    <t xml:space="preserve">Cost of Borrowing </t>
  </si>
  <si>
    <t>Effective Tax Rate</t>
  </si>
  <si>
    <t>Financial Projections</t>
  </si>
  <si>
    <t>Particular</t>
  </si>
  <si>
    <t>Income</t>
  </si>
  <si>
    <t>Profit available to Shareholders</t>
  </si>
  <si>
    <t>Discounted Free Cash Flow</t>
  </si>
  <si>
    <t>WACC *</t>
  </si>
  <si>
    <t>Net Present Value</t>
  </si>
  <si>
    <t>Lacs</t>
  </si>
  <si>
    <t>Share Capital</t>
  </si>
  <si>
    <t>Share Value Rs. Per Share</t>
  </si>
  <si>
    <t>WACC</t>
  </si>
  <si>
    <t>Assumptions:</t>
  </si>
  <si>
    <t>Less: Working Capital Outlfow</t>
  </si>
  <si>
    <t>Free Cash flow to Shareholders</t>
  </si>
  <si>
    <t>3) Beta of Market risk premium for equity is at 1.2 as per industry</t>
  </si>
  <si>
    <t xml:space="preserve">Less: CAPEX Investment </t>
  </si>
  <si>
    <t>Rs. In Lacs</t>
  </si>
  <si>
    <t>Pariculars</t>
  </si>
  <si>
    <t>2014-15</t>
  </si>
  <si>
    <t>2015-16</t>
  </si>
  <si>
    <t>2016-17</t>
  </si>
  <si>
    <t>2017-18</t>
  </si>
  <si>
    <t>2018-19</t>
  </si>
  <si>
    <t>Sales</t>
  </si>
  <si>
    <t>Total Income</t>
  </si>
  <si>
    <t>Expenditures</t>
  </si>
  <si>
    <t>Other Direct Cost</t>
  </si>
  <si>
    <t>Indirect</t>
  </si>
  <si>
    <t>Total Expenditure</t>
  </si>
  <si>
    <t xml:space="preserve">Net Share Value </t>
  </si>
  <si>
    <t>Projected Profitability</t>
  </si>
  <si>
    <t>Say Round off -</t>
  </si>
  <si>
    <t>1) Considering the business will be run for infinite Years.</t>
  </si>
  <si>
    <t>(Rs. Lacs)</t>
  </si>
  <si>
    <t>2013-14</t>
  </si>
  <si>
    <t>Employee Cost</t>
  </si>
  <si>
    <t>Less: Depreciation</t>
  </si>
  <si>
    <t>EBIDTA</t>
  </si>
  <si>
    <t>Less: Tax Liability</t>
  </si>
  <si>
    <t>PBT</t>
  </si>
  <si>
    <t>PAT</t>
  </si>
  <si>
    <t>(%)</t>
  </si>
  <si>
    <t>5th Year Onwards</t>
  </si>
  <si>
    <t>2) It is assumed that the company will grow @2% perpetually</t>
  </si>
  <si>
    <t>PV Factor @ 20.5%</t>
  </si>
  <si>
    <t>5) It is assumed that every year additional Capex will be required.</t>
  </si>
  <si>
    <t>Round off to Rs.</t>
  </si>
  <si>
    <t>The value of Unquoted Shares in Unlisted Company</t>
  </si>
  <si>
    <t>FMV =</t>
  </si>
  <si>
    <t>(Assets - Liabilities)* Paid up equity Capital / Paid up Value of Such Equity</t>
  </si>
  <si>
    <t>Rs. Lacs</t>
  </si>
  <si>
    <t>Assets</t>
  </si>
  <si>
    <t>Fixed Assets</t>
  </si>
  <si>
    <t xml:space="preserve">Non-current </t>
  </si>
  <si>
    <t>Current Assets</t>
  </si>
  <si>
    <t>Liabilities</t>
  </si>
  <si>
    <t>Current Liabilities</t>
  </si>
  <si>
    <t>Preference Dividend (Contingent)</t>
  </si>
  <si>
    <t>Less: DLOM - 20%</t>
  </si>
  <si>
    <t>4) Discount on Lack of Marketability is at an average 20%</t>
  </si>
  <si>
    <t>Nil</t>
  </si>
  <si>
    <t>Equity and Preference Capital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</si>
</sst>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_)"/>
    <numFmt numFmtId="173" formatCode="0.0000"/>
    <numFmt numFmtId="174" formatCode="0.000"/>
    <numFmt numFmtId="175" formatCode="0.00000"/>
    <numFmt numFmtId="176" formatCode="#,##0.0_);\(#,##0.0\)"/>
    <numFmt numFmtId="177" formatCode="0.0_)"/>
    <numFmt numFmtId="178" formatCode="0.0"/>
    <numFmt numFmtId="179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2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10" fontId="22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10" fontId="21" fillId="0" borderId="10" xfId="0" applyNumberFormat="1" applyFont="1" applyFill="1" applyBorder="1" applyAlignment="1">
      <alignment horizontal="center"/>
    </xf>
    <xf numFmtId="172" fontId="22" fillId="0" borderId="10" xfId="57" applyNumberFormat="1" applyFont="1" applyFill="1" applyBorder="1" applyProtection="1">
      <alignment/>
      <protection/>
    </xf>
    <xf numFmtId="39" fontId="1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21" fillId="0" borderId="10" xfId="0" applyFont="1" applyBorder="1" applyAlignment="1">
      <alignment horizontal="right"/>
    </xf>
    <xf numFmtId="2" fontId="22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9" fontId="22" fillId="0" borderId="0" xfId="0" applyNumberFormat="1" applyFont="1" applyBorder="1" applyAlignment="1">
      <alignment/>
    </xf>
    <xf numFmtId="10" fontId="21" fillId="0" borderId="10" xfId="6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19" fillId="0" borderId="10" xfId="0" applyFont="1" applyBorder="1" applyAlignment="1">
      <alignment horizontal="right" wrapText="1"/>
    </xf>
    <xf numFmtId="1" fontId="4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0" fontId="40" fillId="0" borderId="10" xfId="60" applyNumberFormat="1" applyFont="1" applyBorder="1" applyAlignment="1">
      <alignment/>
    </xf>
    <xf numFmtId="179" fontId="0" fillId="0" borderId="10" xfId="6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PLcm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2.8515625" style="7" bestFit="1" customWidth="1"/>
    <col min="2" max="2" width="13.140625" style="7" customWidth="1"/>
    <col min="3" max="6" width="12.7109375" style="7" customWidth="1"/>
    <col min="7" max="16384" width="9.140625" style="7" customWidth="1"/>
  </cols>
  <sheetData>
    <row r="1" spans="1:6" ht="14.25">
      <c r="A1" s="50"/>
      <c r="B1" s="50"/>
      <c r="C1" s="50"/>
      <c r="D1" s="50"/>
      <c r="E1" s="50"/>
      <c r="F1" s="50"/>
    </row>
    <row r="2" spans="1:5" ht="14.25">
      <c r="A2" s="1" t="s">
        <v>6</v>
      </c>
      <c r="E2" s="1"/>
    </row>
    <row r="3" spans="1:6" ht="28.5">
      <c r="A3" s="2" t="s">
        <v>7</v>
      </c>
      <c r="B3" s="4" t="str">
        <f>+Projections!E5</f>
        <v>2015-16</v>
      </c>
      <c r="C3" s="4" t="str">
        <f>+Projections!F5</f>
        <v>2016-17</v>
      </c>
      <c r="D3" s="4" t="str">
        <f>+Projections!G5</f>
        <v>2017-18</v>
      </c>
      <c r="E3" s="4" t="str">
        <f>+Projections!H5</f>
        <v>2018-19</v>
      </c>
      <c r="F3" s="39" t="s">
        <v>48</v>
      </c>
    </row>
    <row r="4" spans="1:6" ht="14.25">
      <c r="A4" s="2" t="s">
        <v>8</v>
      </c>
      <c r="B4" s="8"/>
      <c r="C4" s="8"/>
      <c r="D4" s="8"/>
      <c r="E4" s="8"/>
      <c r="F4" s="40" t="s">
        <v>39</v>
      </c>
    </row>
    <row r="5" spans="1:6" ht="14.25">
      <c r="A5" s="28"/>
      <c r="B5" s="16"/>
      <c r="C5" s="16"/>
      <c r="D5" s="16"/>
      <c r="E5" s="16"/>
      <c r="F5" s="16"/>
    </row>
    <row r="6" spans="1:6" ht="14.25">
      <c r="A6" s="12" t="s">
        <v>9</v>
      </c>
      <c r="B6" s="20">
        <f>+Projections!E27</f>
        <v>6.865499999999999</v>
      </c>
      <c r="C6" s="20">
        <f>+Projections!F27</f>
        <v>10.322399999999998</v>
      </c>
      <c r="D6" s="20">
        <f>+Projections!G27</f>
        <v>12.673920000000006</v>
      </c>
      <c r="E6" s="20">
        <f>+Projections!H27</f>
        <v>17.549735999999996</v>
      </c>
      <c r="F6" s="20">
        <f>(E6*1.02)/(0.205-0.02)</f>
        <v>96.76070659459457</v>
      </c>
    </row>
    <row r="7" spans="1:6" ht="14.25">
      <c r="A7" s="6" t="s">
        <v>21</v>
      </c>
      <c r="B7" s="21">
        <v>5</v>
      </c>
      <c r="C7" s="21">
        <v>5</v>
      </c>
      <c r="D7" s="21">
        <v>5</v>
      </c>
      <c r="E7" s="21">
        <v>5</v>
      </c>
      <c r="F7" s="21">
        <f>+F6*0.35</f>
        <v>33.86624730810809</v>
      </c>
    </row>
    <row r="8" spans="1:6" ht="14.25">
      <c r="A8" s="6" t="s">
        <v>18</v>
      </c>
      <c r="B8" s="21">
        <f>(Projections!E7-Projections!D7)*0.3+0.16</f>
        <v>3.001</v>
      </c>
      <c r="C8" s="21">
        <f>(Projections!F7-Projections!E7)*0.3</f>
        <v>7.5</v>
      </c>
      <c r="D8" s="21">
        <f>(Projections!G7-Projections!F7)*0.3</f>
        <v>6</v>
      </c>
      <c r="E8" s="21">
        <f>(Projections!H7-Projections!G7)*0.3</f>
        <v>6</v>
      </c>
      <c r="F8" s="21">
        <f>+F6*0.3</f>
        <v>29.02821197837837</v>
      </c>
    </row>
    <row r="9" spans="1:6" ht="14.25">
      <c r="A9" s="6"/>
      <c r="B9" s="21"/>
      <c r="C9" s="21"/>
      <c r="D9" s="21"/>
      <c r="E9" s="21"/>
      <c r="F9" s="21"/>
    </row>
    <row r="10" spans="1:6" ht="14.25">
      <c r="A10" s="6" t="s">
        <v>19</v>
      </c>
      <c r="B10" s="13">
        <f>+B6-B7-B8</f>
        <v>-1.1355000000000008</v>
      </c>
      <c r="C10" s="13">
        <f>+C6-C7-C8</f>
        <v>-2.1776000000000018</v>
      </c>
      <c r="D10" s="13">
        <f>+D6-D7-D8</f>
        <v>1.673920000000006</v>
      </c>
      <c r="E10" s="13">
        <f>+E6-E7-E8</f>
        <v>6.549735999999996</v>
      </c>
      <c r="F10" s="13">
        <f>+F6-F7-F8-F9</f>
        <v>33.8662473081081</v>
      </c>
    </row>
    <row r="11" spans="1:6" ht="14.25">
      <c r="A11" s="14" t="s">
        <v>50</v>
      </c>
      <c r="B11" s="13">
        <f>1/1.205</f>
        <v>0.8298755186721991</v>
      </c>
      <c r="C11" s="13">
        <f>+B11/1.205</f>
        <v>0.6886933764914515</v>
      </c>
      <c r="D11" s="13">
        <f>+C11/1.205</f>
        <v>0.5715297730219514</v>
      </c>
      <c r="E11" s="13">
        <f>+D11/1.205</f>
        <v>0.47429856682319615</v>
      </c>
      <c r="F11" s="13">
        <f>+E11</f>
        <v>0.47429856682319615</v>
      </c>
    </row>
    <row r="12" spans="1:6" ht="14.25">
      <c r="A12" s="14" t="s">
        <v>10</v>
      </c>
      <c r="B12" s="3">
        <f>+B10*B11</f>
        <v>-0.9423236514522828</v>
      </c>
      <c r="C12" s="3">
        <f>+C10*C11</f>
        <v>-1.4996986966477859</v>
      </c>
      <c r="D12" s="3">
        <f>+D10*D11</f>
        <v>0.9566951176569084</v>
      </c>
      <c r="E12" s="3">
        <f>+E10*E11</f>
        <v>3.1065303978702916</v>
      </c>
      <c r="F12" s="3">
        <f>+F10*F11</f>
        <v>16.062712561915596</v>
      </c>
    </row>
    <row r="13" spans="1:6" ht="14.25">
      <c r="A13" s="6"/>
      <c r="B13" s="6"/>
      <c r="C13" s="6"/>
      <c r="D13" s="6"/>
      <c r="E13" s="6"/>
      <c r="F13" s="10"/>
    </row>
    <row r="14" spans="1:6" ht="14.25">
      <c r="A14" s="6" t="s">
        <v>11</v>
      </c>
      <c r="B14" s="15">
        <f>+B30</f>
        <v>0.205</v>
      </c>
      <c r="C14" s="6"/>
      <c r="D14" s="16"/>
      <c r="E14" s="6"/>
      <c r="F14" s="10"/>
    </row>
    <row r="15" spans="1:6" ht="14.25">
      <c r="A15" s="5" t="s">
        <v>12</v>
      </c>
      <c r="B15" s="16">
        <f>SUM(B12:F12)</f>
        <v>17.68391572934273</v>
      </c>
      <c r="C15" s="6" t="s">
        <v>13</v>
      </c>
      <c r="D15" s="6"/>
      <c r="E15" s="6"/>
      <c r="F15" s="10"/>
    </row>
    <row r="16" spans="1:6" ht="14.25">
      <c r="A16" s="6" t="s">
        <v>14</v>
      </c>
      <c r="B16" s="13">
        <v>1</v>
      </c>
      <c r="C16" s="6"/>
      <c r="D16" s="6"/>
      <c r="E16" s="6"/>
      <c r="F16" s="10"/>
    </row>
    <row r="17" spans="1:6" ht="14.25">
      <c r="A17" s="14" t="s">
        <v>15</v>
      </c>
      <c r="B17" s="29">
        <f>+B15/B16</f>
        <v>17.68391572934273</v>
      </c>
      <c r="C17" s="6"/>
      <c r="D17" s="6"/>
      <c r="E17" s="10"/>
      <c r="F17" s="10"/>
    </row>
    <row r="18" spans="1:6" ht="14.25">
      <c r="A18" s="14" t="s">
        <v>64</v>
      </c>
      <c r="B18" s="29">
        <f>+B17*0.2</f>
        <v>3.536783145868546</v>
      </c>
      <c r="C18" s="6"/>
      <c r="D18" s="6"/>
      <c r="E18" s="10"/>
      <c r="F18" s="10"/>
    </row>
    <row r="19" spans="1:6" ht="14.25">
      <c r="A19" s="45" t="s">
        <v>35</v>
      </c>
      <c r="B19" s="46">
        <f>+B17-B18</f>
        <v>14.147132583474184</v>
      </c>
      <c r="C19" s="6"/>
      <c r="D19" s="6"/>
      <c r="E19" s="10"/>
      <c r="F19" s="10"/>
    </row>
    <row r="20" spans="1:6" ht="14.25">
      <c r="A20" s="5" t="s">
        <v>52</v>
      </c>
      <c r="B20" s="16">
        <v>14</v>
      </c>
      <c r="C20" s="6"/>
      <c r="D20" s="6"/>
      <c r="E20" s="10"/>
      <c r="F20" s="10"/>
    </row>
    <row r="21" spans="1:6" ht="14.25">
      <c r="A21" s="22"/>
      <c r="B21" s="44"/>
      <c r="C21" s="22"/>
      <c r="D21" s="22"/>
      <c r="E21" s="11"/>
      <c r="F21" s="11"/>
    </row>
    <row r="22" spans="1:6" ht="14.25">
      <c r="A22" s="6" t="s">
        <v>0</v>
      </c>
      <c r="B22" s="17">
        <v>1.2</v>
      </c>
      <c r="C22" s="22"/>
      <c r="D22" s="22"/>
      <c r="E22" s="11"/>
      <c r="F22" s="11"/>
    </row>
    <row r="23" spans="1:6" ht="14.25">
      <c r="A23" s="6" t="s">
        <v>1</v>
      </c>
      <c r="B23" s="18">
        <v>0.06</v>
      </c>
      <c r="C23" s="22"/>
      <c r="D23" s="22"/>
      <c r="E23" s="11"/>
      <c r="F23" s="11"/>
    </row>
    <row r="24" spans="1:6" ht="14.25">
      <c r="A24" s="6" t="s">
        <v>2</v>
      </c>
      <c r="B24" s="18">
        <v>0.12</v>
      </c>
      <c r="C24" s="22"/>
      <c r="D24" s="22"/>
      <c r="E24" s="11"/>
      <c r="F24" s="11"/>
    </row>
    <row r="25" spans="1:6" ht="14.25">
      <c r="A25" s="6" t="s">
        <v>3</v>
      </c>
      <c r="B25" s="18">
        <v>0</v>
      </c>
      <c r="C25" s="22"/>
      <c r="D25" s="22"/>
      <c r="E25" s="11"/>
      <c r="F25" s="11"/>
    </row>
    <row r="26" spans="1:6" ht="14.25">
      <c r="A26" s="6" t="s">
        <v>4</v>
      </c>
      <c r="B26" s="18">
        <v>0.12</v>
      </c>
      <c r="C26" s="22"/>
      <c r="D26" s="22"/>
      <c r="E26" s="11"/>
      <c r="F26" s="11"/>
    </row>
    <row r="27" spans="1:6" ht="14.25">
      <c r="A27" s="6" t="s">
        <v>5</v>
      </c>
      <c r="B27" s="18">
        <v>0.31</v>
      </c>
      <c r="C27" s="22"/>
      <c r="D27" s="22"/>
      <c r="E27" s="11"/>
      <c r="F27" s="11"/>
    </row>
    <row r="28" spans="1:6" ht="14.25">
      <c r="A28" s="6"/>
      <c r="B28" s="18"/>
      <c r="C28" s="22"/>
      <c r="D28" s="22"/>
      <c r="E28" s="11"/>
      <c r="F28" s="11"/>
    </row>
    <row r="29" spans="1:6" ht="14.25">
      <c r="A29" s="5" t="s">
        <v>16</v>
      </c>
      <c r="B29" s="19">
        <f>((B23+B22*B24)*(1-B25)+B26*(1-B27)*B25)</f>
        <v>0.204</v>
      </c>
      <c r="C29" s="33"/>
      <c r="D29" s="34"/>
      <c r="E29" s="11"/>
      <c r="F29" s="11"/>
    </row>
    <row r="30" spans="1:6" ht="14.25">
      <c r="A30" s="5" t="s">
        <v>37</v>
      </c>
      <c r="B30" s="35">
        <v>0.205</v>
      </c>
      <c r="C30" s="22"/>
      <c r="D30" s="22"/>
      <c r="E30" s="11"/>
      <c r="F30" s="11"/>
    </row>
    <row r="32" ht="14.25">
      <c r="A32" s="30" t="s">
        <v>17</v>
      </c>
    </row>
    <row r="33" spans="1:2" ht="14.25">
      <c r="A33" s="36" t="s">
        <v>38</v>
      </c>
      <c r="B33" s="37"/>
    </row>
    <row r="34" ht="14.25">
      <c r="A34" s="36" t="s">
        <v>49</v>
      </c>
    </row>
    <row r="35" spans="1:2" ht="14.25">
      <c r="A35" s="31" t="s">
        <v>20</v>
      </c>
      <c r="B35" s="26"/>
    </row>
    <row r="36" ht="14.25">
      <c r="A36" t="s">
        <v>65</v>
      </c>
    </row>
    <row r="37" ht="14.25">
      <c r="A37" s="36" t="s">
        <v>51</v>
      </c>
    </row>
    <row r="38" ht="14.25">
      <c r="A38" s="36"/>
    </row>
    <row r="39" ht="14.25">
      <c r="A39" s="36"/>
    </row>
  </sheetData>
  <sheetProtection/>
  <mergeCells count="1">
    <mergeCell ref="A1:F1"/>
  </mergeCells>
  <printOptions/>
  <pageMargins left="0.29" right="0.38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2.00390625" style="7" bestFit="1" customWidth="1"/>
    <col min="2" max="2" width="27.7109375" style="7" customWidth="1"/>
    <col min="3" max="4" width="7.7109375" style="7" hidden="1" customWidth="1"/>
    <col min="5" max="8" width="10.7109375" style="7" customWidth="1"/>
    <col min="9" max="16384" width="9.140625" style="7" customWidth="1"/>
  </cols>
  <sheetData>
    <row r="1" spans="2:8" ht="14.25">
      <c r="B1" s="50"/>
      <c r="C1" s="50"/>
      <c r="D1" s="50"/>
      <c r="E1" s="50"/>
      <c r="F1" s="50"/>
      <c r="G1" s="50"/>
      <c r="H1" s="50"/>
    </row>
    <row r="2" spans="2:8" ht="14.25">
      <c r="B2" s="27"/>
      <c r="C2" s="38"/>
      <c r="D2" s="27"/>
      <c r="E2" s="27"/>
      <c r="F2" s="27"/>
      <c r="G2" s="27"/>
      <c r="H2" s="27"/>
    </row>
    <row r="3" spans="2:3" ht="14.25">
      <c r="B3" s="1" t="s">
        <v>36</v>
      </c>
      <c r="C3" s="1"/>
    </row>
    <row r="4" ht="14.25">
      <c r="H4" s="1" t="s">
        <v>22</v>
      </c>
    </row>
    <row r="5" spans="2:8" ht="14.25">
      <c r="B5" s="24" t="s">
        <v>23</v>
      </c>
      <c r="C5" s="24" t="s">
        <v>40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</row>
    <row r="6" spans="2:8" ht="14.25">
      <c r="B6" s="10"/>
      <c r="C6" s="10"/>
      <c r="D6" s="10"/>
      <c r="E6" s="10"/>
      <c r="F6" s="10"/>
      <c r="G6" s="10"/>
      <c r="H6" s="10"/>
    </row>
    <row r="7" spans="2:8" ht="14.25">
      <c r="B7" s="2" t="s">
        <v>29</v>
      </c>
      <c r="C7" s="2">
        <v>109.76</v>
      </c>
      <c r="D7" s="9">
        <v>125.53</v>
      </c>
      <c r="E7" s="9">
        <v>135</v>
      </c>
      <c r="F7" s="9">
        <v>160</v>
      </c>
      <c r="G7" s="9">
        <v>180</v>
      </c>
      <c r="H7" s="9">
        <v>200</v>
      </c>
    </row>
    <row r="8" spans="2:8" ht="14.25">
      <c r="B8" s="10"/>
      <c r="C8" s="10"/>
      <c r="D8" s="10"/>
      <c r="E8" s="10"/>
      <c r="F8" s="10"/>
      <c r="G8" s="10"/>
      <c r="H8" s="10"/>
    </row>
    <row r="9" spans="2:8" ht="14.25">
      <c r="B9" s="2" t="s">
        <v>30</v>
      </c>
      <c r="C9" s="3" t="e">
        <f>+C7+#REF!</f>
        <v>#REF!</v>
      </c>
      <c r="D9" s="3" t="e">
        <f>+D7+#REF!</f>
        <v>#REF!</v>
      </c>
      <c r="E9" s="3">
        <f>+E7</f>
        <v>135</v>
      </c>
      <c r="F9" s="3">
        <f>+F7</f>
        <v>160</v>
      </c>
      <c r="G9" s="3">
        <f>+G7</f>
        <v>180</v>
      </c>
      <c r="H9" s="3">
        <f>+H7</f>
        <v>200</v>
      </c>
    </row>
    <row r="10" spans="2:8" ht="14.25">
      <c r="B10" s="10"/>
      <c r="C10" s="10"/>
      <c r="D10" s="10"/>
      <c r="E10" s="10"/>
      <c r="F10" s="10"/>
      <c r="G10" s="10"/>
      <c r="H10" s="10"/>
    </row>
    <row r="11" spans="2:8" ht="14.25">
      <c r="B11" s="25" t="s">
        <v>31</v>
      </c>
      <c r="C11" s="25"/>
      <c r="D11" s="10"/>
      <c r="E11" s="10"/>
      <c r="F11" s="10"/>
      <c r="G11" s="10"/>
      <c r="H11" s="10"/>
    </row>
    <row r="12" spans="2:8" ht="14.25">
      <c r="B12" s="41" t="s">
        <v>41</v>
      </c>
      <c r="C12" s="10">
        <v>67.47</v>
      </c>
      <c r="D12" s="9">
        <v>51.35</v>
      </c>
      <c r="E12" s="9">
        <f>+E7*0.4</f>
        <v>54</v>
      </c>
      <c r="F12" s="9">
        <f>+F7*0.4</f>
        <v>64</v>
      </c>
      <c r="G12" s="9">
        <f>+G7*0.4</f>
        <v>72</v>
      </c>
      <c r="H12" s="9">
        <f>+H7*0.39</f>
        <v>78</v>
      </c>
    </row>
    <row r="13" spans="2:8" ht="14.25">
      <c r="B13" s="10" t="s">
        <v>32</v>
      </c>
      <c r="C13" s="10">
        <v>24.46</v>
      </c>
      <c r="D13" s="9">
        <v>49.67</v>
      </c>
      <c r="E13" s="9">
        <f>+E9*0.35</f>
        <v>47.25</v>
      </c>
      <c r="F13" s="9">
        <f>+F9*0.35</f>
        <v>56</v>
      </c>
      <c r="G13" s="9">
        <f>+G9*0.35</f>
        <v>62.99999999999999</v>
      </c>
      <c r="H13" s="9">
        <f>+H9*0.34</f>
        <v>68</v>
      </c>
    </row>
    <row r="14" spans="2:8" ht="14.25">
      <c r="B14" s="10" t="s">
        <v>33</v>
      </c>
      <c r="C14" s="10">
        <f>86.65-C13</f>
        <v>62.190000000000005</v>
      </c>
      <c r="D14" s="9">
        <f>246.51-49.67</f>
        <v>196.83999999999997</v>
      </c>
      <c r="E14" s="9">
        <v>20</v>
      </c>
      <c r="F14" s="9">
        <f>+E14*1.1</f>
        <v>22</v>
      </c>
      <c r="G14" s="9">
        <f>+F14*1.1</f>
        <v>24.200000000000003</v>
      </c>
      <c r="H14" s="9">
        <f>+G14*1.1</f>
        <v>26.620000000000005</v>
      </c>
    </row>
    <row r="15" spans="2:8" ht="14.25">
      <c r="B15" s="10"/>
      <c r="C15" s="10"/>
      <c r="D15" s="10"/>
      <c r="E15" s="10"/>
      <c r="F15" s="10"/>
      <c r="G15" s="10"/>
      <c r="H15" s="10"/>
    </row>
    <row r="16" spans="2:8" ht="14.25">
      <c r="B16" s="2" t="s">
        <v>34</v>
      </c>
      <c r="C16" s="3">
        <f aca="true" t="shared" si="0" ref="C16:H16">SUM(C12:C14)</f>
        <v>154.12</v>
      </c>
      <c r="D16" s="3">
        <f t="shared" si="0"/>
        <v>297.86</v>
      </c>
      <c r="E16" s="3">
        <f t="shared" si="0"/>
        <v>121.25</v>
      </c>
      <c r="F16" s="3">
        <f t="shared" si="0"/>
        <v>142</v>
      </c>
      <c r="G16" s="3">
        <f t="shared" si="0"/>
        <v>159.2</v>
      </c>
      <c r="H16" s="3">
        <f t="shared" si="0"/>
        <v>172.62</v>
      </c>
    </row>
    <row r="17" spans="2:8" ht="14.25">
      <c r="B17" s="41"/>
      <c r="C17" s="10"/>
      <c r="D17" s="10"/>
      <c r="E17" s="10"/>
      <c r="F17" s="10"/>
      <c r="G17" s="10"/>
      <c r="H17" s="10"/>
    </row>
    <row r="18" spans="2:8" ht="14.25">
      <c r="B18" s="47" t="s">
        <v>43</v>
      </c>
      <c r="C18" s="48" t="e">
        <f aca="true" t="shared" si="1" ref="C18:H18">+C9-C16</f>
        <v>#REF!</v>
      </c>
      <c r="D18" s="48" t="e">
        <f t="shared" si="1"/>
        <v>#REF!</v>
      </c>
      <c r="E18" s="48">
        <f t="shared" si="1"/>
        <v>13.75</v>
      </c>
      <c r="F18" s="48">
        <f t="shared" si="1"/>
        <v>18</v>
      </c>
      <c r="G18" s="48">
        <f t="shared" si="1"/>
        <v>20.80000000000001</v>
      </c>
      <c r="H18" s="48">
        <f t="shared" si="1"/>
        <v>27.379999999999995</v>
      </c>
    </row>
    <row r="19" spans="2:8" ht="14.25">
      <c r="B19" s="10"/>
      <c r="C19" s="10"/>
      <c r="D19" s="10"/>
      <c r="E19" s="43">
        <f>+E18/E9</f>
        <v>0.10185185185185185</v>
      </c>
      <c r="F19" s="43">
        <f>+F18/F9</f>
        <v>0.1125</v>
      </c>
      <c r="G19" s="43">
        <f>+G18/G9</f>
        <v>0.11555555555555562</v>
      </c>
      <c r="H19" s="43">
        <f>+H18/H9</f>
        <v>0.13689999999999997</v>
      </c>
    </row>
    <row r="20" spans="2:8" ht="14.25">
      <c r="B20" s="10"/>
      <c r="C20" s="10"/>
      <c r="D20" s="10"/>
      <c r="E20" s="43"/>
      <c r="F20" s="43"/>
      <c r="G20" s="43"/>
      <c r="H20" s="43"/>
    </row>
    <row r="21" spans="2:8" ht="14.25">
      <c r="B21" s="41" t="s">
        <v>42</v>
      </c>
      <c r="C21" s="10"/>
      <c r="D21" s="9">
        <v>4.75</v>
      </c>
      <c r="E21" s="9">
        <f>+D21*0.8</f>
        <v>3.8000000000000003</v>
      </c>
      <c r="F21" s="9">
        <f>+E21*0.8</f>
        <v>3.0400000000000005</v>
      </c>
      <c r="G21" s="9">
        <f>+F21*0.8</f>
        <v>2.4320000000000004</v>
      </c>
      <c r="H21" s="9">
        <f>+G21*0.8</f>
        <v>1.9456000000000004</v>
      </c>
    </row>
    <row r="22" spans="2:8" ht="14.25">
      <c r="B22" s="10"/>
      <c r="C22" s="10"/>
      <c r="D22" s="10"/>
      <c r="E22" s="10"/>
      <c r="F22" s="10"/>
      <c r="G22" s="10"/>
      <c r="H22" s="10"/>
    </row>
    <row r="23" spans="2:8" ht="14.25">
      <c r="B23" s="41" t="s">
        <v>45</v>
      </c>
      <c r="C23" s="10"/>
      <c r="D23" s="9" t="e">
        <f>+D18-D21</f>
        <v>#REF!</v>
      </c>
      <c r="E23" s="9">
        <f>+E18-E21</f>
        <v>9.95</v>
      </c>
      <c r="F23" s="9">
        <f>+F18-F21</f>
        <v>14.959999999999999</v>
      </c>
      <c r="G23" s="9">
        <f>+G18-G21</f>
        <v>18.36800000000001</v>
      </c>
      <c r="H23" s="9">
        <f>+H18-H21</f>
        <v>25.434399999999997</v>
      </c>
    </row>
    <row r="24" spans="2:8" ht="14.25">
      <c r="B24" s="41"/>
      <c r="C24" s="10"/>
      <c r="D24" s="9"/>
      <c r="E24" s="9"/>
      <c r="F24" s="9"/>
      <c r="G24" s="9"/>
      <c r="H24" s="9"/>
    </row>
    <row r="25" spans="2:8" ht="14.25">
      <c r="B25" s="41" t="s">
        <v>44</v>
      </c>
      <c r="C25" s="10"/>
      <c r="D25" s="10"/>
      <c r="E25" s="9">
        <f>+E23*0.31</f>
        <v>3.0845</v>
      </c>
      <c r="F25" s="9">
        <f>+F23*0.31</f>
        <v>4.6376</v>
      </c>
      <c r="G25" s="9">
        <f>+G23*0.31</f>
        <v>5.694080000000003</v>
      </c>
      <c r="H25" s="9">
        <f>+H23*0.31</f>
        <v>7.884663999999999</v>
      </c>
    </row>
    <row r="26" spans="2:8" ht="14.25">
      <c r="B26" s="10"/>
      <c r="C26" s="10"/>
      <c r="D26" s="10"/>
      <c r="E26" s="10"/>
      <c r="F26" s="10"/>
      <c r="G26" s="10"/>
      <c r="H26" s="10"/>
    </row>
    <row r="27" spans="2:8" ht="14.25">
      <c r="B27" s="41" t="s">
        <v>46</v>
      </c>
      <c r="C27" s="10"/>
      <c r="D27" s="10"/>
      <c r="E27" s="9">
        <f>+E23-E25</f>
        <v>6.865499999999999</v>
      </c>
      <c r="F27" s="9">
        <f>+F23-F25</f>
        <v>10.322399999999998</v>
      </c>
      <c r="G27" s="9">
        <f>+G23-G25</f>
        <v>12.673920000000006</v>
      </c>
      <c r="H27" s="9">
        <f>+H23-H25</f>
        <v>17.549735999999996</v>
      </c>
    </row>
    <row r="28" spans="2:8" ht="14.25">
      <c r="B28" s="2" t="s">
        <v>47</v>
      </c>
      <c r="C28" s="2"/>
      <c r="D28" s="3"/>
      <c r="E28" s="42">
        <f>+E27/E9</f>
        <v>0.05085555555555555</v>
      </c>
      <c r="F28" s="42">
        <f>+F27/F9</f>
        <v>0.06451499999999999</v>
      </c>
      <c r="G28" s="42">
        <f>+G27/G9</f>
        <v>0.0704106666666667</v>
      </c>
      <c r="H28" s="42">
        <f>+H27/H9</f>
        <v>0.08774867999999998</v>
      </c>
    </row>
    <row r="29" spans="2:8" ht="14.25">
      <c r="B29" s="10"/>
      <c r="C29" s="10"/>
      <c r="D29" s="10"/>
      <c r="E29" s="10"/>
      <c r="F29" s="10"/>
      <c r="G29" s="10"/>
      <c r="H29" s="10"/>
    </row>
    <row r="31" spans="2:3" ht="14.25">
      <c r="B31" s="23"/>
      <c r="C31" s="23"/>
    </row>
    <row r="33" spans="1:3" ht="14.25">
      <c r="A33" s="32"/>
      <c r="B33"/>
      <c r="C33"/>
    </row>
    <row r="34" ht="14.25">
      <c r="A34" s="32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57421875" style="0" bestFit="1" customWidth="1"/>
    <col min="3" max="3" width="31.7109375" style="0" bestFit="1" customWidth="1"/>
    <col min="4" max="4" width="22.28125" style="0" customWidth="1"/>
    <col min="5" max="5" width="33.7109375" style="0" customWidth="1"/>
  </cols>
  <sheetData>
    <row r="1" spans="1:5" ht="14.25">
      <c r="A1" s="51" t="s">
        <v>53</v>
      </c>
      <c r="B1" s="51"/>
      <c r="C1" s="51"/>
      <c r="D1" s="51"/>
      <c r="E1" s="51"/>
    </row>
    <row r="3" spans="1:5" ht="14.25">
      <c r="A3" s="2" t="s">
        <v>54</v>
      </c>
      <c r="B3" s="52" t="s">
        <v>55</v>
      </c>
      <c r="C3" s="52"/>
      <c r="D3" s="52"/>
      <c r="E3" s="52"/>
    </row>
    <row r="4" spans="1:5" ht="14.25">
      <c r="A4" s="41"/>
      <c r="B4" s="41"/>
      <c r="C4" s="41"/>
      <c r="D4" s="41" t="s">
        <v>56</v>
      </c>
      <c r="E4" s="41"/>
    </row>
    <row r="5" spans="1:5" ht="14.25">
      <c r="A5" s="41"/>
      <c r="B5" s="25" t="s">
        <v>57</v>
      </c>
      <c r="C5" s="41" t="s">
        <v>58</v>
      </c>
      <c r="D5" s="41">
        <v>916.43</v>
      </c>
      <c r="E5" s="41"/>
    </row>
    <row r="6" spans="1:5" ht="14.25">
      <c r="A6" s="41"/>
      <c r="B6" s="41"/>
      <c r="C6" s="41" t="s">
        <v>59</v>
      </c>
      <c r="D6" s="41">
        <v>11.25</v>
      </c>
      <c r="E6" s="41"/>
    </row>
    <row r="7" spans="1:5" ht="14.25">
      <c r="A7" s="41"/>
      <c r="B7" s="41"/>
      <c r="C7" s="41" t="s">
        <v>60</v>
      </c>
      <c r="D7" s="41">
        <v>1077.55</v>
      </c>
      <c r="E7" s="41"/>
    </row>
    <row r="8" spans="1:5" ht="14.25">
      <c r="A8" s="41"/>
      <c r="B8" s="41"/>
      <c r="C8" s="41"/>
      <c r="D8" s="41"/>
      <c r="E8" s="2">
        <f>SUM(D5:D7)</f>
        <v>2005.23</v>
      </c>
    </row>
    <row r="9" spans="1:5" ht="14.25">
      <c r="A9" s="41"/>
      <c r="B9" s="41"/>
      <c r="C9" s="41"/>
      <c r="D9" s="41"/>
      <c r="E9" s="41"/>
    </row>
    <row r="10" spans="1:5" ht="14.25">
      <c r="A10" s="41"/>
      <c r="B10" s="25" t="s">
        <v>61</v>
      </c>
      <c r="C10" s="41" t="s">
        <v>67</v>
      </c>
      <c r="D10" s="41">
        <v>1920.57</v>
      </c>
      <c r="E10" s="41"/>
    </row>
    <row r="11" spans="1:5" ht="14.25">
      <c r="A11" s="41"/>
      <c r="B11" s="41"/>
      <c r="C11" s="41" t="s">
        <v>62</v>
      </c>
      <c r="D11" s="41">
        <v>50.54</v>
      </c>
      <c r="E11" s="41"/>
    </row>
    <row r="12" spans="1:5" ht="14.25">
      <c r="A12" s="41"/>
      <c r="B12" s="41"/>
      <c r="C12" s="41" t="s">
        <v>63</v>
      </c>
      <c r="D12" s="41">
        <v>780.54</v>
      </c>
      <c r="E12" s="41"/>
    </row>
    <row r="13" spans="1:5" ht="14.25">
      <c r="A13" s="41"/>
      <c r="B13" s="41"/>
      <c r="C13" s="41"/>
      <c r="D13" s="41"/>
      <c r="E13" s="2">
        <f>SUM(D10:D12)</f>
        <v>2751.6499999999996</v>
      </c>
    </row>
    <row r="14" spans="1:5" ht="14.25">
      <c r="A14" s="41"/>
      <c r="B14" s="41"/>
      <c r="C14" s="41"/>
      <c r="D14" s="41"/>
      <c r="E14" s="41"/>
    </row>
    <row r="15" spans="1:5" ht="14.25">
      <c r="A15" s="2" t="s">
        <v>54</v>
      </c>
      <c r="B15" s="41"/>
      <c r="C15" s="2">
        <f>(E8-E13)*10/10</f>
        <v>-746.4199999999996</v>
      </c>
      <c r="D15" s="41"/>
      <c r="E15" s="49" t="s">
        <v>66</v>
      </c>
    </row>
  </sheetData>
  <sheetProtection/>
  <mergeCells count="2">
    <mergeCell ref="A1:E1"/>
    <mergeCell ref="B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2015-12-08T09:03:51Z</dcterms:modified>
  <cp:category/>
  <cp:version/>
  <cp:contentType/>
  <cp:contentStatus/>
</cp:coreProperties>
</file>